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2270"/>
  </bookViews>
  <sheets>
    <sheet name="Basic Cost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9" i="1" l="1"/>
  <c r="C78" i="1" s="1"/>
  <c r="C69" i="1" l="1"/>
  <c r="C71" i="1"/>
  <c r="C73" i="1"/>
  <c r="C75" i="1"/>
  <c r="C77" i="1"/>
  <c r="C70" i="1"/>
  <c r="C72" i="1"/>
  <c r="C74" i="1"/>
  <c r="C76" i="1"/>
  <c r="C79" i="1" l="1"/>
  <c r="C42" i="1"/>
  <c r="D42" i="1" s="1"/>
  <c r="C40" i="1"/>
  <c r="D40" i="1" s="1"/>
  <c r="C39" i="1"/>
  <c r="D39" i="1" s="1"/>
  <c r="C37" i="1"/>
  <c r="D37" i="1" s="1"/>
  <c r="C36" i="1"/>
  <c r="D36" i="1" s="1"/>
  <c r="D45" i="1" l="1"/>
  <c r="C22" i="1"/>
  <c r="C17" i="1"/>
  <c r="D46" i="1" l="1"/>
  <c r="F58" i="1"/>
  <c r="D58" i="1"/>
  <c r="F63" i="1"/>
  <c r="D63" i="1"/>
  <c r="B63" i="1"/>
  <c r="E58" i="1"/>
  <c r="C58" i="1"/>
  <c r="E63" i="1"/>
  <c r="C63" i="1"/>
  <c r="C25" i="1"/>
  <c r="C21" i="1" l="1"/>
  <c r="C26" i="1"/>
  <c r="C24" i="1"/>
  <c r="C23" i="1"/>
  <c r="C28" i="1" l="1"/>
  <c r="B28" i="1"/>
  <c r="G57" i="1" l="1"/>
  <c r="G59" i="1" s="1"/>
  <c r="G62" i="1"/>
  <c r="G65" i="1" s="1"/>
  <c r="E57" i="1"/>
  <c r="E59" i="1" s="1"/>
  <c r="C57" i="1"/>
  <c r="C59" i="1" s="1"/>
  <c r="E62" i="1"/>
  <c r="E65" i="1" s="1"/>
  <c r="C62" i="1"/>
  <c r="C65" i="1" s="1"/>
  <c r="F57" i="1"/>
  <c r="F59" i="1" s="1"/>
  <c r="D57" i="1"/>
  <c r="D59" i="1" s="1"/>
  <c r="F62" i="1"/>
  <c r="F65" i="1" s="1"/>
  <c r="D62" i="1"/>
  <c r="D65" i="1" s="1"/>
  <c r="B62" i="1"/>
  <c r="B17" i="1"/>
  <c r="B64" i="1" s="1"/>
  <c r="D77" i="1" l="1"/>
  <c r="D75" i="1"/>
  <c r="D73" i="1"/>
  <c r="D71" i="1"/>
  <c r="D69" i="1"/>
  <c r="D70" i="1"/>
  <c r="D78" i="1"/>
  <c r="D76" i="1"/>
  <c r="D74" i="1"/>
  <c r="D72" i="1"/>
  <c r="E77" i="1"/>
  <c r="E75" i="1"/>
  <c r="E73" i="1"/>
  <c r="E71" i="1"/>
  <c r="E69" i="1"/>
  <c r="E78" i="1"/>
  <c r="E76" i="1"/>
  <c r="E74" i="1"/>
  <c r="E72" i="1"/>
  <c r="E70" i="1"/>
  <c r="B65" i="1"/>
  <c r="E79" i="1" l="1"/>
  <c r="D79" i="1"/>
</calcChain>
</file>

<file path=xl/comments1.xml><?xml version="1.0" encoding="utf-8"?>
<comments xmlns="http://schemas.openxmlformats.org/spreadsheetml/2006/main">
  <authors>
    <author>cmook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cmook:</t>
        </r>
        <r>
          <rPr>
            <sz val="8"/>
            <color indexed="81"/>
            <rFont val="Tahoma"/>
            <family val="2"/>
          </rPr>
          <t xml:space="preserve">
FCSL - 3,400 feet - $15,243 (disassemble, pack, ship, one month store, deliver and install)
New College  -  588 Linear feet  -  $6,198 (pack, ship, store for one month, deliver and install)
No data for HSCL shelving included here. </t>
        </r>
      </text>
    </comment>
    <comment ref="A13" authorId="0">
      <text>
        <r>
          <rPr>
            <b/>
            <sz val="10"/>
            <color indexed="81"/>
            <rFont val="Tahoma"/>
            <family val="2"/>
          </rPr>
          <t>cmook:</t>
        </r>
        <r>
          <rPr>
            <sz val="10"/>
            <color indexed="81"/>
            <rFont val="Tahoma"/>
            <family val="2"/>
          </rPr>
          <t xml:space="preserve">
based on $2,325 cost of 2010 move and return of portion of Preservation to IT for recarpeting. Turner was agent</t>
        </r>
      </text>
    </comment>
    <comment ref="A14" authorId="0">
      <text>
        <r>
          <rPr>
            <b/>
            <sz val="10"/>
            <color indexed="81"/>
            <rFont val="Tahoma"/>
            <family val="2"/>
          </rPr>
          <t>cmook:</t>
        </r>
        <r>
          <rPr>
            <sz val="10"/>
            <color indexed="81"/>
            <rFont val="Tahoma"/>
            <family val="2"/>
          </rPr>
          <t xml:space="preserve">
With 15 rows of 250 feet, each, and 1 hole [avg] per foot, hole count =
15* 250 = 3,750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cmook:</t>
        </r>
        <r>
          <rPr>
            <sz val="8"/>
            <color indexed="81"/>
            <rFont val="Tahoma"/>
            <family val="2"/>
          </rPr>
          <t xml:space="preserve">
Arriving covers making the record transferred from the Miami live in the UF/UX catalog catalog
Assumes MINIMAL dedup chaeck. If Miami is not checking duplicates ahead, this cost will be low.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cmook:</t>
        </r>
        <r>
          <rPr>
            <sz val="8"/>
            <color indexed="81"/>
            <rFont val="Tahoma"/>
            <family val="2"/>
          </rPr>
          <t xml:space="preserve">
800,000 journals in D trays, 11 per tray, at $1.69 = 800,000/11 = 72,727 trays * $1.69 =</t>
        </r>
        <r>
          <rPr>
            <b/>
            <sz val="9"/>
            <color indexed="81"/>
            <rFont val="Tahoma"/>
            <family val="2"/>
          </rPr>
          <t xml:space="preserve"> $122,908</t>
        </r>
        <r>
          <rPr>
            <sz val="8"/>
            <color indexed="81"/>
            <rFont val="Tahoma"/>
            <family val="2"/>
          </rPr>
          <t xml:space="preserve">
11 volumes per 17 inch deep D tray assumes a per volume thickness of 1.5 inches per volume
200,000 monographs in B trays, at $1.40 = 200,000/17 = 11,764 trays  * $1.40 = $</t>
        </r>
        <r>
          <rPr>
            <b/>
            <sz val="9"/>
            <color indexed="81"/>
            <rFont val="Tahoma"/>
            <family val="2"/>
          </rPr>
          <t>16,470</t>
        </r>
        <r>
          <rPr>
            <sz val="8"/>
            <color indexed="81"/>
            <rFont val="Tahoma"/>
            <family val="2"/>
          </rPr>
          <t xml:space="preserve">
17 volumes per 17 inch deep B tray assumes a per volume thickness of 1  inch per volume
label stock for tray labels for 84,491 trays = </t>
        </r>
        <r>
          <rPr>
            <b/>
            <sz val="8"/>
            <color indexed="81"/>
            <rFont val="Tahoma"/>
            <family val="2"/>
          </rPr>
          <t>$2,000</t>
        </r>
        <r>
          <rPr>
            <sz val="8"/>
            <color indexed="81"/>
            <rFont val="Tahoma"/>
            <family val="2"/>
          </rPr>
          <t xml:space="preserve"> (SWAG)
ribbbon  stock for tray labels for 84,491 trays =  </t>
        </r>
        <r>
          <rPr>
            <b/>
            <sz val="8"/>
            <color indexed="81"/>
            <rFont val="Tahoma"/>
            <family val="2"/>
          </rPr>
          <t>$120</t>
        </r>
        <r>
          <rPr>
            <sz val="8"/>
            <color indexed="81"/>
            <rFont val="Tahoma"/>
            <family val="2"/>
          </rPr>
          <t xml:space="preserve">
label and ribbon stock for 1 million duplicate barcodes = </t>
        </r>
        <r>
          <rPr>
            <b/>
            <sz val="9"/>
            <color indexed="81"/>
            <rFont val="Tahoma"/>
            <family val="2"/>
          </rPr>
          <t>$15,000</t>
        </r>
        <r>
          <rPr>
            <sz val="8"/>
            <color indexed="81"/>
            <rFont val="Tahoma"/>
            <family val="2"/>
          </rPr>
          <t xml:space="preserve">  [based on MSL purchase]
All BOLD = </t>
        </r>
        <r>
          <rPr>
            <b/>
            <sz val="8"/>
            <color indexed="81"/>
            <rFont val="Tahoma"/>
            <family val="2"/>
          </rPr>
          <t>$156,498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<sst xmlns="http://schemas.openxmlformats.org/spreadsheetml/2006/main" count="90" uniqueCount="87">
  <si>
    <t>Insurance</t>
  </si>
  <si>
    <t>Internet connectivity  (1 Gigabit for a 3 year contract)</t>
  </si>
  <si>
    <t>Annually</t>
  </si>
  <si>
    <t>Monthly</t>
  </si>
  <si>
    <t>Install fiber from road to building (estimate)</t>
  </si>
  <si>
    <t>Ports, wireless, switches, etc. to support network inside building for entire units of Storage and Preservation</t>
  </si>
  <si>
    <t>Remove</t>
  </si>
  <si>
    <t>Install</t>
  </si>
  <si>
    <t>Hangar door sealants</t>
  </si>
  <si>
    <t>Floor drains</t>
  </si>
  <si>
    <t>One 12" by 31" canopy, with permit</t>
  </si>
  <si>
    <t>Repaint 42,000 square feet at $3 a square foot with professional grade garage sealant</t>
  </si>
  <si>
    <t>Rent  for Office space (assuming $5.50 per year at 5,400 square feet /12 months)</t>
  </si>
  <si>
    <t>Rent  for Workroom space (assuming $5.50 per year at 10,800 square feet /12 months)</t>
  </si>
  <si>
    <t>Rent  for storage/warehouse space (assuming $5.50 per year at 45,000 square feet /12 months)</t>
  </si>
  <si>
    <t xml:space="preserve">Provide and install hurricane protection (woven mesh, Miami/Dade County approved) at all windows </t>
  </si>
  <si>
    <t>Utilities (From GRU estimate, assumes 75 degrees F, full lights)</t>
  </si>
  <si>
    <t>Move and install 4,000 linear feet of donated shelving from New College and Florida Coastal School of Law</t>
  </si>
  <si>
    <t xml:space="preserve">Move and install X linear feet of donated shelving from non UF sources </t>
  </si>
  <si>
    <t>Repair 3,750 floor holes at $5 each  (estimate)</t>
  </si>
  <si>
    <t xml:space="preserve">Move Preservation staff and furniture from campus to Eclipse (estimate) </t>
  </si>
  <si>
    <t>Move and install 27,852 linear feet of Marston shelving from 1st floor periodicals only</t>
  </si>
  <si>
    <t>Processing space for storage</t>
  </si>
  <si>
    <t>Storage space</t>
  </si>
  <si>
    <t>Preprocessing for 1 million volumes (assumes 800,000 journals and 200,000 monographs - unpack, separate journals from monographs and assess for condition)</t>
  </si>
  <si>
    <t xml:space="preserve">Administrative overhead per volume </t>
  </si>
  <si>
    <r>
      <t xml:space="preserve">NOTE: Condition assessment costs not factored in here, </t>
    </r>
    <r>
      <rPr>
        <i/>
        <sz val="11"/>
        <color theme="1"/>
        <rFont val="Calibri"/>
        <family val="2"/>
        <scheme val="minor"/>
      </rPr>
      <t>other than initial identification</t>
    </r>
    <r>
      <rPr>
        <sz val="11"/>
        <color theme="1"/>
        <rFont val="Calibri"/>
        <family val="2"/>
        <scheme val="minor"/>
      </rPr>
      <t xml:space="preserve">. Cost for preservation supplies and labor to update Aleph and OCLC with 583 notes NOT included in this cost. </t>
    </r>
  </si>
  <si>
    <t>N/A</t>
  </si>
  <si>
    <t>SUPPLIES: Trays for 800,000 journals + 200,000 monographs + handles/backing plates + label stock + ribbon stock</t>
  </si>
  <si>
    <t>PROCESSING COSTS TOTAL</t>
  </si>
  <si>
    <t>TBD</t>
  </si>
  <si>
    <t>See Comment for details</t>
  </si>
  <si>
    <t>Minutes per task</t>
  </si>
  <si>
    <t>Rate per minute for staff performing task</t>
  </si>
  <si>
    <t>JOURNALS: Title level updates in Aleph and OCLC on 20,000 titles (assumes 800,000 journal volumes are in 20,000 titles, meaning each 1 title has average of 40 volumes in the run) Includes 'arriving' the title, checking for duplicates, QC on the title and updating HOL from 866 to 85X/86X pairs</t>
  </si>
  <si>
    <t xml:space="preserve">Volume level changes in the catalog on 1 milllion volumes, includes </t>
  </si>
  <si>
    <t xml:space="preserve">     A) inventory check (for journals only)  a</t>
  </si>
  <si>
    <t xml:space="preserve">     B) bar code duplication</t>
  </si>
  <si>
    <t>Sizing, traying and shelving</t>
  </si>
  <si>
    <t>One Time, Recurring and Processing Costs for Interim Storage (Eclipse)</t>
  </si>
  <si>
    <t>One Time Costs</t>
  </si>
  <si>
    <t>Recurring Costs</t>
  </si>
  <si>
    <t>Processing Costs</t>
  </si>
  <si>
    <t>One Time Costs  TOTAL</t>
  </si>
  <si>
    <t>Recurring Costs  TOTAL</t>
  </si>
  <si>
    <t>TASKS</t>
  </si>
  <si>
    <t xml:space="preserve">For 1 million volumes </t>
  </si>
  <si>
    <t>Average Cost Per Volume</t>
  </si>
  <si>
    <t>Does not include costs of transfer and installation of shelving</t>
  </si>
  <si>
    <t>Preservation/Digitization</t>
  </si>
  <si>
    <t>Processing: Tasks will be spread out over several years as items are transferred to storage from UF and Other Libraries</t>
  </si>
  <si>
    <t>(Estimated based on 1,000,000 volumes of which 800,000 are Journal Volumes and 200,000 are Monographs)</t>
  </si>
  <si>
    <t>2012-2013</t>
  </si>
  <si>
    <t>2013-2014</t>
  </si>
  <si>
    <t>2014-2015</t>
  </si>
  <si>
    <t>2015-2016</t>
  </si>
  <si>
    <t>SUS (Other than UF)</t>
  </si>
  <si>
    <t xml:space="preserve">   Recurring</t>
  </si>
  <si>
    <t>2011-2012</t>
  </si>
  <si>
    <t xml:space="preserve">   One-Time Costs</t>
  </si>
  <si>
    <t>UF and Other Partners (ICUF)</t>
  </si>
  <si>
    <t xml:space="preserve">   Processing (Estimated 200,000 volumes per year)</t>
  </si>
  <si>
    <t>* Charges will be based on actual expenses</t>
  </si>
  <si>
    <t>Proposed Schedule for Cost Share*</t>
  </si>
  <si>
    <t>Does not include rate increases for employees or supplies</t>
  </si>
  <si>
    <t>Does not include retrieval, shipment and reshelving once materials are stored, which will be covered by UF employees initially</t>
  </si>
  <si>
    <t>FAMU</t>
  </si>
  <si>
    <t>FAU</t>
  </si>
  <si>
    <t>FGCU</t>
  </si>
  <si>
    <t>FIU</t>
  </si>
  <si>
    <t>FSU</t>
  </si>
  <si>
    <t>NCF</t>
  </si>
  <si>
    <t>UCF</t>
  </si>
  <si>
    <t>UNF</t>
  </si>
  <si>
    <t>USF</t>
  </si>
  <si>
    <t>UWF</t>
  </si>
  <si>
    <t>% of Total FTE</t>
  </si>
  <si>
    <t>Total</t>
  </si>
  <si>
    <t>2010 FTE</t>
  </si>
  <si>
    <t>NOTES:</t>
  </si>
  <si>
    <t>Once the High Denisty Facility is built and operational, costs for all partners will be shared onan FTE basis using NCES data</t>
  </si>
  <si>
    <t>Processing costs may be spread out over additional (or fewer) years, depending on the rate of submission of materials</t>
  </si>
  <si>
    <t>SUS will jointly petition for acceleration of PECO funding of the High Density Storage, which will eliminate recurring costs for Eclipse</t>
  </si>
  <si>
    <t>SUS will request "planning funds" from PECO for processing of collections prior to opening of the High Density Facility since the materials will betransferred to the facillity when it opens</t>
  </si>
  <si>
    <t>SUS Cost Share Based on FTE (Without UF)</t>
  </si>
  <si>
    <t>Annual Cost thru 2015-2016</t>
  </si>
  <si>
    <t>Annual Cost in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</si>
</sst>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165" fontId="0" fillId="0" borderId="0" xfId="0" applyNumberFormat="1" applyAlignment="1">
      <alignment horizontal="left" vertical="top" wrapText="1"/>
    </xf>
    <xf numFmtId="0" fontId="0" fillId="2" borderId="0" xfId="0" applyFill="1" applyAlignment="1">
      <alignment vertical="top" wrapText="1"/>
    </xf>
    <xf numFmtId="166" fontId="0" fillId="0" borderId="0" xfId="0" applyNumberFormat="1" applyAlignment="1">
      <alignment horizontal="right" vertical="top" wrapText="1"/>
    </xf>
    <xf numFmtId="166" fontId="0" fillId="0" borderId="0" xfId="0" applyNumberFormat="1" applyAlignment="1">
      <alignment vertical="top"/>
    </xf>
    <xf numFmtId="166" fontId="0" fillId="0" borderId="0" xfId="1" applyNumberFormat="1" applyFont="1" applyAlignment="1">
      <alignment horizontal="right" vertical="top" wrapText="1"/>
    </xf>
    <xf numFmtId="166" fontId="0" fillId="0" borderId="0" xfId="0" applyNumberFormat="1" applyAlignment="1">
      <alignment horizontal="left" vertical="top"/>
    </xf>
    <xf numFmtId="166" fontId="0" fillId="0" borderId="1" xfId="0" applyNumberFormat="1" applyBorder="1" applyAlignment="1">
      <alignment horizontal="right" vertical="top" wrapText="1"/>
    </xf>
    <xf numFmtId="166" fontId="0" fillId="0" borderId="1" xfId="0" applyNumberFormat="1" applyBorder="1" applyAlignment="1">
      <alignment vertical="top"/>
    </xf>
    <xf numFmtId="166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vertical="top"/>
    </xf>
    <xf numFmtId="166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vertical="top"/>
    </xf>
    <xf numFmtId="166" fontId="0" fillId="0" borderId="0" xfId="0" applyNumberForma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66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12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Border="1"/>
    <xf numFmtId="3" fontId="0" fillId="0" borderId="0" xfId="0" applyNumberFormat="1" applyBorder="1"/>
    <xf numFmtId="10" fontId="0" fillId="0" borderId="0" xfId="2" applyNumberFormat="1" applyFont="1" applyBorder="1"/>
    <xf numFmtId="0" fontId="0" fillId="0" borderId="0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3" fontId="0" fillId="0" borderId="1" xfId="0" applyNumberFormat="1" applyBorder="1"/>
    <xf numFmtId="10" fontId="0" fillId="0" borderId="1" xfId="2" applyNumberFormat="1" applyFont="1" applyBorder="1"/>
    <xf numFmtId="0" fontId="6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workbookViewId="0">
      <selection activeCell="B53" sqref="B53"/>
    </sheetView>
  </sheetViews>
  <sheetFormatPr defaultColWidth="9.140625" defaultRowHeight="15" x14ac:dyDescent="0.25"/>
  <cols>
    <col min="1" max="1" width="54.140625" style="1" customWidth="1"/>
    <col min="2" max="2" width="17.85546875" style="14" customWidth="1"/>
    <col min="3" max="3" width="21.28515625" style="14" customWidth="1"/>
    <col min="4" max="4" width="24.28515625" style="1" customWidth="1"/>
    <col min="5" max="5" width="22.140625" style="2" customWidth="1"/>
    <col min="6" max="6" width="19.28515625" style="2" customWidth="1"/>
    <col min="7" max="7" width="16.42578125" style="2" customWidth="1"/>
    <col min="8" max="16384" width="9.140625" style="2"/>
  </cols>
  <sheetData>
    <row r="1" spans="1:5" s="4" customFormat="1" ht="23.25" x14ac:dyDescent="0.25">
      <c r="A1" s="4" t="s">
        <v>39</v>
      </c>
      <c r="B1" s="12"/>
      <c r="C1" s="12"/>
      <c r="D1" s="3"/>
    </row>
    <row r="3" spans="1:5" s="8" customFormat="1" ht="21" x14ac:dyDescent="0.25">
      <c r="A3" s="39" t="s">
        <v>40</v>
      </c>
      <c r="B3" s="40" t="s">
        <v>7</v>
      </c>
      <c r="C3" s="41" t="s">
        <v>6</v>
      </c>
      <c r="D3" s="42"/>
      <c r="E3" s="42"/>
    </row>
    <row r="4" spans="1:5" x14ac:dyDescent="0.25">
      <c r="A4" s="1" t="s">
        <v>4</v>
      </c>
      <c r="B4" s="22">
        <v>1000</v>
      </c>
      <c r="C4" s="23"/>
      <c r="D4" s="2"/>
    </row>
    <row r="5" spans="1:5" ht="30" x14ac:dyDescent="0.25">
      <c r="A5" s="1" t="s">
        <v>15</v>
      </c>
      <c r="B5" s="24">
        <v>43411</v>
      </c>
      <c r="C5" s="23">
        <v>3000</v>
      </c>
      <c r="D5" s="2"/>
    </row>
    <row r="6" spans="1:5" ht="30" x14ac:dyDescent="0.25">
      <c r="A6" s="1" t="s">
        <v>5</v>
      </c>
      <c r="B6" s="24">
        <v>25128</v>
      </c>
      <c r="C6" s="23"/>
      <c r="D6" s="2"/>
    </row>
    <row r="7" spans="1:5" ht="30" x14ac:dyDescent="0.25">
      <c r="A7" s="1" t="s">
        <v>18</v>
      </c>
      <c r="B7" s="24"/>
      <c r="C7" s="23"/>
      <c r="D7" s="2"/>
    </row>
    <row r="8" spans="1:5" ht="30" x14ac:dyDescent="0.25">
      <c r="A8" s="1" t="s">
        <v>21</v>
      </c>
      <c r="B8" s="24"/>
      <c r="C8" s="23"/>
      <c r="D8" s="2"/>
    </row>
    <row r="9" spans="1:5" s="11" customFormat="1" ht="30" x14ac:dyDescent="0.25">
      <c r="A9" s="10" t="s">
        <v>17</v>
      </c>
      <c r="B9" s="24">
        <v>21441</v>
      </c>
      <c r="C9" s="25"/>
    </row>
    <row r="10" spans="1:5" x14ac:dyDescent="0.25">
      <c r="A10" s="1" t="s">
        <v>8</v>
      </c>
      <c r="B10" s="22">
        <v>3875</v>
      </c>
      <c r="C10" s="23">
        <v>2000</v>
      </c>
      <c r="D10" s="2"/>
    </row>
    <row r="11" spans="1:5" x14ac:dyDescent="0.25">
      <c r="A11" s="1" t="s">
        <v>9</v>
      </c>
      <c r="B11" s="22">
        <v>800</v>
      </c>
      <c r="C11" s="23">
        <v>500</v>
      </c>
      <c r="D11" s="2"/>
    </row>
    <row r="12" spans="1:5" x14ac:dyDescent="0.25">
      <c r="A12" s="1" t="s">
        <v>10</v>
      </c>
      <c r="B12" s="22">
        <v>4675</v>
      </c>
      <c r="C12" s="23">
        <v>1500</v>
      </c>
      <c r="D12" s="2"/>
    </row>
    <row r="13" spans="1:5" ht="30" x14ac:dyDescent="0.25">
      <c r="A13" s="1" t="s">
        <v>20</v>
      </c>
      <c r="B13" s="22">
        <v>5000</v>
      </c>
      <c r="C13" s="23"/>
      <c r="D13" s="2"/>
    </row>
    <row r="14" spans="1:5" x14ac:dyDescent="0.25">
      <c r="A14" s="1" t="s">
        <v>19</v>
      </c>
      <c r="B14" s="22"/>
      <c r="C14" s="23">
        <v>18750</v>
      </c>
      <c r="D14" s="2"/>
    </row>
    <row r="15" spans="1:5" ht="30" x14ac:dyDescent="0.25">
      <c r="A15" s="1" t="s">
        <v>11</v>
      </c>
      <c r="B15" s="26"/>
      <c r="C15" s="27">
        <v>126000</v>
      </c>
      <c r="D15" s="2"/>
    </row>
    <row r="16" spans="1:5" x14ac:dyDescent="0.25">
      <c r="B16" s="22"/>
      <c r="C16" s="23"/>
      <c r="D16" s="2"/>
    </row>
    <row r="17" spans="1:11" s="6" customFormat="1" ht="23.25" x14ac:dyDescent="0.25">
      <c r="A17" s="3" t="s">
        <v>43</v>
      </c>
      <c r="B17" s="28">
        <f>SUM(B4:B16)</f>
        <v>105330</v>
      </c>
      <c r="C17" s="29">
        <f>SUM(C4:C16)</f>
        <v>151750</v>
      </c>
    </row>
    <row r="18" spans="1:11" s="6" customFormat="1" ht="18.75" x14ac:dyDescent="0.25">
      <c r="A18" s="5"/>
      <c r="B18" s="28"/>
      <c r="C18" s="29"/>
    </row>
    <row r="19" spans="1:11" x14ac:dyDescent="0.25">
      <c r="B19" s="22"/>
      <c r="C19" s="23"/>
      <c r="D19" s="2"/>
    </row>
    <row r="20" spans="1:11" s="8" customFormat="1" ht="21" x14ac:dyDescent="0.25">
      <c r="A20" s="39" t="s">
        <v>41</v>
      </c>
      <c r="B20" s="43" t="s">
        <v>3</v>
      </c>
      <c r="C20" s="44" t="s">
        <v>2</v>
      </c>
      <c r="D20" s="42"/>
      <c r="E20" s="42"/>
    </row>
    <row r="21" spans="1:11" ht="30" x14ac:dyDescent="0.25">
      <c r="A21" s="1" t="s">
        <v>12</v>
      </c>
      <c r="B21" s="22">
        <v>2475</v>
      </c>
      <c r="C21" s="23">
        <f t="shared" ref="C21:C26" si="0">B21*12</f>
        <v>29700</v>
      </c>
      <c r="D21" s="2" t="s">
        <v>49</v>
      </c>
    </row>
    <row r="22" spans="1:11" ht="30" x14ac:dyDescent="0.25">
      <c r="A22" s="9" t="s">
        <v>13</v>
      </c>
      <c r="B22" s="22">
        <v>4950</v>
      </c>
      <c r="C22" s="23">
        <f t="shared" si="0"/>
        <v>59400</v>
      </c>
      <c r="D22" s="2" t="s">
        <v>22</v>
      </c>
    </row>
    <row r="23" spans="1:11" ht="30" x14ac:dyDescent="0.25">
      <c r="A23" s="1" t="s">
        <v>14</v>
      </c>
      <c r="B23" s="22">
        <v>20625</v>
      </c>
      <c r="C23" s="23">
        <f t="shared" si="0"/>
        <v>247500</v>
      </c>
      <c r="D23" s="2" t="s">
        <v>23</v>
      </c>
    </row>
    <row r="24" spans="1:11" x14ac:dyDescent="0.25">
      <c r="A24" s="1" t="s">
        <v>1</v>
      </c>
      <c r="B24" s="22">
        <v>500</v>
      </c>
      <c r="C24" s="23">
        <f t="shared" si="0"/>
        <v>6000</v>
      </c>
      <c r="D24" s="2"/>
    </row>
    <row r="25" spans="1:11" x14ac:dyDescent="0.25">
      <c r="A25" s="1" t="s">
        <v>0</v>
      </c>
      <c r="B25" s="22">
        <v>1833.33</v>
      </c>
      <c r="C25" s="23">
        <f t="shared" si="0"/>
        <v>21999.96</v>
      </c>
      <c r="D25" s="2"/>
    </row>
    <row r="26" spans="1:11" ht="30" x14ac:dyDescent="0.25">
      <c r="A26" s="1" t="s">
        <v>16</v>
      </c>
      <c r="B26" s="26">
        <v>17000</v>
      </c>
      <c r="C26" s="27">
        <f t="shared" si="0"/>
        <v>204000</v>
      </c>
      <c r="D26" s="38"/>
      <c r="E26" s="38"/>
      <c r="F26" s="38"/>
      <c r="G26" s="38"/>
    </row>
    <row r="27" spans="1:11" x14ac:dyDescent="0.25">
      <c r="B27" s="22"/>
      <c r="C27" s="23"/>
      <c r="D27" s="2"/>
    </row>
    <row r="28" spans="1:11" s="4" customFormat="1" ht="23.25" x14ac:dyDescent="0.25">
      <c r="A28" s="3" t="s">
        <v>44</v>
      </c>
      <c r="B28" s="30">
        <f>SUM(B19:B27)</f>
        <v>47383.33</v>
      </c>
      <c r="C28" s="31">
        <f>SUM(C23:C27)</f>
        <v>479499.96</v>
      </c>
      <c r="D28" s="2"/>
      <c r="G28" s="2"/>
      <c r="H28" s="2"/>
      <c r="I28" s="2"/>
      <c r="J28" s="2"/>
      <c r="K28" s="2"/>
    </row>
    <row r="29" spans="1:11" x14ac:dyDescent="0.25">
      <c r="D29" s="2"/>
    </row>
    <row r="31" spans="1:11" ht="23.25" x14ac:dyDescent="0.25">
      <c r="A31" s="45" t="s">
        <v>42</v>
      </c>
      <c r="B31" s="15"/>
      <c r="C31" s="15"/>
      <c r="D31" s="17"/>
      <c r="E31" s="37"/>
      <c r="F31" s="37"/>
    </row>
    <row r="32" spans="1:11" ht="18.75" x14ac:dyDescent="0.25">
      <c r="A32" s="6" t="s">
        <v>50</v>
      </c>
    </row>
    <row r="33" spans="1:6" ht="18.75" x14ac:dyDescent="0.25">
      <c r="A33" s="6" t="s">
        <v>51</v>
      </c>
    </row>
    <row r="34" spans="1:6" ht="18.75" x14ac:dyDescent="0.25">
      <c r="A34" s="6"/>
    </row>
    <row r="35" spans="1:6" s="16" customFormat="1" ht="47.25" x14ac:dyDescent="0.25">
      <c r="A35" s="46" t="s">
        <v>45</v>
      </c>
      <c r="B35" s="47" t="s">
        <v>32</v>
      </c>
      <c r="C35" s="47" t="s">
        <v>33</v>
      </c>
      <c r="D35" s="46" t="s">
        <v>46</v>
      </c>
    </row>
    <row r="36" spans="1:6" ht="45" x14ac:dyDescent="0.25">
      <c r="A36" s="1" t="s">
        <v>24</v>
      </c>
      <c r="B36" s="20">
        <v>4.5</v>
      </c>
      <c r="C36" s="18">
        <f>10*1.32/60</f>
        <v>0.22000000000000003</v>
      </c>
      <c r="D36" s="32">
        <f>B36*C36*1000000</f>
        <v>990000.00000000012</v>
      </c>
    </row>
    <row r="37" spans="1:6" ht="90" x14ac:dyDescent="0.25">
      <c r="A37" s="1" t="s">
        <v>34</v>
      </c>
      <c r="B37" s="20">
        <v>30</v>
      </c>
      <c r="C37" s="18">
        <f>11.5*1.32/60</f>
        <v>0.253</v>
      </c>
      <c r="D37" s="32">
        <f>B37*C37*20000</f>
        <v>151800</v>
      </c>
    </row>
    <row r="38" spans="1:6" ht="30" x14ac:dyDescent="0.25">
      <c r="A38" s="1" t="s">
        <v>35</v>
      </c>
      <c r="B38" s="20"/>
      <c r="C38" s="18"/>
      <c r="D38" s="32"/>
    </row>
    <row r="39" spans="1:6" x14ac:dyDescent="0.25">
      <c r="A39" s="1" t="s">
        <v>36</v>
      </c>
      <c r="B39" s="20">
        <v>1</v>
      </c>
      <c r="C39" s="18">
        <f>11.5*1.32/60</f>
        <v>0.253</v>
      </c>
      <c r="D39" s="32">
        <f>B39*C39*800000</f>
        <v>202400</v>
      </c>
    </row>
    <row r="40" spans="1:6" x14ac:dyDescent="0.25">
      <c r="A40" s="1" t="s">
        <v>37</v>
      </c>
      <c r="B40" s="20">
        <v>0.3</v>
      </c>
      <c r="C40" s="18">
        <f>11.5*1.32/60</f>
        <v>0.253</v>
      </c>
      <c r="D40" s="32">
        <f>B40*C40*1000000</f>
        <v>75900</v>
      </c>
    </row>
    <row r="41" spans="1:6" ht="30" x14ac:dyDescent="0.25">
      <c r="A41" s="1" t="s">
        <v>28</v>
      </c>
      <c r="B41" s="20" t="s">
        <v>31</v>
      </c>
      <c r="C41" s="18" t="s">
        <v>27</v>
      </c>
      <c r="D41" s="32">
        <v>156498</v>
      </c>
    </row>
    <row r="42" spans="1:6" x14ac:dyDescent="0.25">
      <c r="A42" s="1" t="s">
        <v>38</v>
      </c>
      <c r="B42" s="20">
        <v>6</v>
      </c>
      <c r="C42" s="18">
        <f>10*1.32/60</f>
        <v>0.22000000000000003</v>
      </c>
      <c r="D42" s="32">
        <f>B42*C42*1000000</f>
        <v>1320000.0000000002</v>
      </c>
    </row>
    <row r="43" spans="1:6" x14ac:dyDescent="0.25">
      <c r="A43" s="21" t="s">
        <v>25</v>
      </c>
      <c r="B43" s="34" t="s">
        <v>30</v>
      </c>
      <c r="C43" s="35"/>
      <c r="D43" s="36"/>
      <c r="E43" s="37"/>
      <c r="F43" s="37"/>
    </row>
    <row r="44" spans="1:6" x14ac:dyDescent="0.25">
      <c r="B44" s="20"/>
      <c r="D44" s="32"/>
    </row>
    <row r="45" spans="1:6" s="8" customFormat="1" ht="21" x14ac:dyDescent="0.25">
      <c r="A45" s="7" t="s">
        <v>29</v>
      </c>
      <c r="B45" s="20"/>
      <c r="C45" s="13"/>
      <c r="D45" s="33">
        <f>SUM(D36:D44)</f>
        <v>2896598</v>
      </c>
    </row>
    <row r="46" spans="1:6" s="8" customFormat="1" ht="21" x14ac:dyDescent="0.25">
      <c r="A46" s="7" t="s">
        <v>47</v>
      </c>
      <c r="B46" s="20"/>
      <c r="C46" s="13"/>
      <c r="D46" s="19">
        <f>D45/1000000</f>
        <v>2.896598</v>
      </c>
    </row>
    <row r="47" spans="1:6" x14ac:dyDescent="0.25">
      <c r="A47" s="1" t="s">
        <v>64</v>
      </c>
    </row>
    <row r="48" spans="1:6" ht="45" x14ac:dyDescent="0.25">
      <c r="A48" s="1" t="s">
        <v>65</v>
      </c>
    </row>
    <row r="49" spans="1:7" ht="30" x14ac:dyDescent="0.25">
      <c r="A49" s="1" t="s">
        <v>48</v>
      </c>
    </row>
    <row r="51" spans="1:7" ht="60" x14ac:dyDescent="0.25">
      <c r="A51" s="1" t="s">
        <v>26</v>
      </c>
    </row>
    <row r="53" spans="1:7" ht="21" x14ac:dyDescent="0.25">
      <c r="A53" s="39" t="s">
        <v>63</v>
      </c>
      <c r="B53" s="59" t="s">
        <v>58</v>
      </c>
      <c r="C53" s="48" t="s">
        <v>52</v>
      </c>
      <c r="D53" s="48" t="s">
        <v>53</v>
      </c>
      <c r="E53" s="48" t="s">
        <v>54</v>
      </c>
      <c r="F53" s="48" t="s">
        <v>55</v>
      </c>
      <c r="G53" s="48" t="s">
        <v>55</v>
      </c>
    </row>
    <row r="54" spans="1:7" x14ac:dyDescent="0.25">
      <c r="A54" s="1" t="s">
        <v>62</v>
      </c>
      <c r="B54" s="22"/>
      <c r="C54" s="22"/>
      <c r="D54" s="22"/>
      <c r="E54" s="22"/>
      <c r="F54" s="22"/>
      <c r="G54" s="22"/>
    </row>
    <row r="55" spans="1:7" x14ac:dyDescent="0.25">
      <c r="B55" s="22"/>
      <c r="C55" s="22"/>
      <c r="D55" s="22"/>
      <c r="E55" s="22"/>
      <c r="F55" s="22"/>
      <c r="G55" s="22"/>
    </row>
    <row r="56" spans="1:7" x14ac:dyDescent="0.25">
      <c r="A56" s="49" t="s">
        <v>56</v>
      </c>
      <c r="B56" s="22"/>
      <c r="C56" s="22"/>
      <c r="D56" s="22"/>
      <c r="E56" s="22"/>
      <c r="F56" s="22"/>
      <c r="G56" s="22"/>
    </row>
    <row r="57" spans="1:7" x14ac:dyDescent="0.25">
      <c r="A57" s="1" t="s">
        <v>57</v>
      </c>
      <c r="B57" s="22"/>
      <c r="C57" s="22">
        <f>$C$28*0.5</f>
        <v>239749.98</v>
      </c>
      <c r="D57" s="22">
        <f t="shared" ref="D57:G57" si="1">$C$28*0.5</f>
        <v>239749.98</v>
      </c>
      <c r="E57" s="22">
        <f t="shared" si="1"/>
        <v>239749.98</v>
      </c>
      <c r="F57" s="22">
        <f t="shared" si="1"/>
        <v>239749.98</v>
      </c>
      <c r="G57" s="22">
        <f t="shared" si="1"/>
        <v>239749.98</v>
      </c>
    </row>
    <row r="58" spans="1:7" x14ac:dyDescent="0.25">
      <c r="A58" s="1" t="s">
        <v>61</v>
      </c>
      <c r="B58" s="22"/>
      <c r="C58" s="26">
        <f>($D$45/5)*0.5</f>
        <v>289659.8</v>
      </c>
      <c r="D58" s="26">
        <f t="shared" ref="D58:F58" si="2">($D$45/5)*0.5</f>
        <v>289659.8</v>
      </c>
      <c r="E58" s="26">
        <f t="shared" si="2"/>
        <v>289659.8</v>
      </c>
      <c r="F58" s="26">
        <f t="shared" si="2"/>
        <v>289659.8</v>
      </c>
      <c r="G58" s="26"/>
    </row>
    <row r="59" spans="1:7" x14ac:dyDescent="0.25">
      <c r="B59" s="22"/>
      <c r="C59" s="22">
        <f>SUM(C57:C58)</f>
        <v>529409.78</v>
      </c>
      <c r="D59" s="22">
        <f t="shared" ref="D59:F59" si="3">SUM(D57:D58)</f>
        <v>529409.78</v>
      </c>
      <c r="E59" s="22">
        <f t="shared" si="3"/>
        <v>529409.78</v>
      </c>
      <c r="F59" s="22">
        <f t="shared" si="3"/>
        <v>529409.78</v>
      </c>
      <c r="G59" s="22">
        <f t="shared" ref="G59" si="4">SUM(G57:G58)</f>
        <v>239749.98</v>
      </c>
    </row>
    <row r="60" spans="1:7" x14ac:dyDescent="0.25">
      <c r="B60" s="22"/>
      <c r="C60" s="22"/>
      <c r="D60" s="22"/>
      <c r="E60" s="22"/>
      <c r="F60" s="22"/>
      <c r="G60" s="22"/>
    </row>
    <row r="61" spans="1:7" x14ac:dyDescent="0.25">
      <c r="A61" s="49" t="s">
        <v>60</v>
      </c>
      <c r="B61" s="22"/>
      <c r="C61" s="22"/>
      <c r="D61" s="22"/>
      <c r="E61" s="22"/>
      <c r="F61" s="22"/>
      <c r="G61" s="22"/>
    </row>
    <row r="62" spans="1:7" x14ac:dyDescent="0.25">
      <c r="A62" s="1" t="s">
        <v>57</v>
      </c>
      <c r="B62" s="22">
        <f>C28</f>
        <v>479499.96</v>
      </c>
      <c r="C62" s="22">
        <f>$C$28*0.5</f>
        <v>239749.98</v>
      </c>
      <c r="D62" s="22">
        <f t="shared" ref="D62:G62" si="5">$C$28*0.5</f>
        <v>239749.98</v>
      </c>
      <c r="E62" s="22">
        <f t="shared" si="5"/>
        <v>239749.98</v>
      </c>
      <c r="F62" s="22">
        <f t="shared" si="5"/>
        <v>239749.98</v>
      </c>
      <c r="G62" s="22">
        <f t="shared" si="5"/>
        <v>239749.98</v>
      </c>
    </row>
    <row r="63" spans="1:7" x14ac:dyDescent="0.25">
      <c r="A63" s="1" t="s">
        <v>61</v>
      </c>
      <c r="B63" s="22">
        <f>D45/5</f>
        <v>579319.6</v>
      </c>
      <c r="C63" s="22">
        <f>($D$45/5)*0.5</f>
        <v>289659.8</v>
      </c>
      <c r="D63" s="22">
        <f t="shared" ref="D63:F63" si="6">($D$45/5)*0.5</f>
        <v>289659.8</v>
      </c>
      <c r="E63" s="22">
        <f t="shared" si="6"/>
        <v>289659.8</v>
      </c>
      <c r="F63" s="22">
        <f t="shared" si="6"/>
        <v>289659.8</v>
      </c>
      <c r="G63" s="22"/>
    </row>
    <row r="64" spans="1:7" x14ac:dyDescent="0.25">
      <c r="A64" s="1" t="s">
        <v>59</v>
      </c>
      <c r="B64" s="26">
        <f>B17</f>
        <v>105330</v>
      </c>
      <c r="C64" s="26"/>
      <c r="D64" s="26"/>
      <c r="E64" s="26"/>
      <c r="F64" s="26"/>
      <c r="G64" s="26"/>
    </row>
    <row r="65" spans="1:7" x14ac:dyDescent="0.25">
      <c r="B65" s="22">
        <f>SUM(B62:B64)</f>
        <v>1164149.56</v>
      </c>
      <c r="C65" s="22">
        <f t="shared" ref="C65:F65" si="7">SUM(C62:C64)</f>
        <v>529409.78</v>
      </c>
      <c r="D65" s="22">
        <f t="shared" si="7"/>
        <v>529409.78</v>
      </c>
      <c r="E65" s="22">
        <f t="shared" si="7"/>
        <v>529409.78</v>
      </c>
      <c r="F65" s="22">
        <f t="shared" si="7"/>
        <v>529409.78</v>
      </c>
      <c r="G65" s="22">
        <f t="shared" ref="G65" si="8">SUM(G62:G64)</f>
        <v>239749.98</v>
      </c>
    </row>
    <row r="66" spans="1:7" x14ac:dyDescent="0.25">
      <c r="A66" s="2"/>
    </row>
    <row r="68" spans="1:7" ht="15.6" customHeight="1" x14ac:dyDescent="0.25">
      <c r="A68" s="54" t="s">
        <v>84</v>
      </c>
      <c r="B68" s="55" t="s">
        <v>78</v>
      </c>
      <c r="C68" s="55" t="s">
        <v>76</v>
      </c>
      <c r="D68" s="55" t="s">
        <v>85</v>
      </c>
      <c r="E68" s="55" t="s">
        <v>86</v>
      </c>
    </row>
    <row r="69" spans="1:7" ht="15.75" x14ac:dyDescent="0.3">
      <c r="A69" s="50" t="s">
        <v>66</v>
      </c>
      <c r="B69" s="51">
        <v>9092</v>
      </c>
      <c r="C69" s="52">
        <f t="shared" ref="C69:C78" si="9">B69/$B$79</f>
        <v>5.235849328242604E-2</v>
      </c>
      <c r="D69" s="22">
        <f>$C$59*C69</f>
        <v>27719.09840978065</v>
      </c>
      <c r="E69" s="22">
        <f>$G$59*C69</f>
        <v>12552.947717291778</v>
      </c>
    </row>
    <row r="70" spans="1:7" ht="15.75" x14ac:dyDescent="0.3">
      <c r="A70" s="50" t="s">
        <v>67</v>
      </c>
      <c r="B70" s="51">
        <v>16547</v>
      </c>
      <c r="C70" s="52">
        <f t="shared" si="9"/>
        <v>9.5289923927002168E-2</v>
      </c>
      <c r="D70" s="22">
        <f t="shared" ref="D70:D78" si="10">$C$59*C70</f>
        <v>50447.417662410953</v>
      </c>
      <c r="E70" s="22">
        <f t="shared" ref="E70:E78" si="11">$G$59*C70</f>
        <v>22845.757355700291</v>
      </c>
    </row>
    <row r="71" spans="1:7" ht="15.75" x14ac:dyDescent="0.3">
      <c r="A71" s="50" t="s">
        <v>68</v>
      </c>
      <c r="B71" s="51">
        <v>7598</v>
      </c>
      <c r="C71" s="52">
        <f t="shared" si="9"/>
        <v>4.3754930923875175E-2</v>
      </c>
      <c r="D71" s="22">
        <f t="shared" si="10"/>
        <v>23164.288354323955</v>
      </c>
      <c r="E71" s="22">
        <f t="shared" si="11"/>
        <v>10490.243813900455</v>
      </c>
    </row>
    <row r="72" spans="1:7" ht="15.75" x14ac:dyDescent="0.3">
      <c r="A72" s="50" t="s">
        <v>69</v>
      </c>
      <c r="B72" s="51">
        <v>27288</v>
      </c>
      <c r="C72" s="52">
        <f t="shared" si="9"/>
        <v>0.15714458476582072</v>
      </c>
      <c r="D72" s="22">
        <f t="shared" si="10"/>
        <v>83193.880049064508</v>
      </c>
      <c r="E72" s="22">
        <f t="shared" si="11"/>
        <v>37675.411054713826</v>
      </c>
    </row>
    <row r="73" spans="1:7" ht="15.75" x14ac:dyDescent="0.3">
      <c r="A73" s="50" t="s">
        <v>70</v>
      </c>
      <c r="B73" s="51">
        <v>27954</v>
      </c>
      <c r="C73" s="52">
        <f t="shared" si="9"/>
        <v>0.16097990774493376</v>
      </c>
      <c r="D73" s="22">
        <f t="shared" si="10"/>
        <v>85224.337543665679</v>
      </c>
      <c r="E73" s="22">
        <f t="shared" si="11"/>
        <v>38594.929662249713</v>
      </c>
    </row>
    <row r="74" spans="1:7" ht="15.75" x14ac:dyDescent="0.3">
      <c r="A74" s="50" t="s">
        <v>71</v>
      </c>
      <c r="B74" s="53">
        <v>683</v>
      </c>
      <c r="C74" s="52">
        <f t="shared" si="9"/>
        <v>3.933221613715023E-3</v>
      </c>
      <c r="D74" s="22">
        <f t="shared" si="10"/>
        <v>2082.2859892081156</v>
      </c>
      <c r="E74" s="22">
        <f t="shared" si="11"/>
        <v>942.9898032237445</v>
      </c>
    </row>
    <row r="75" spans="1:7" ht="15.75" x14ac:dyDescent="0.3">
      <c r="A75" s="50" t="s">
        <v>72</v>
      </c>
      <c r="B75" s="51">
        <v>36565</v>
      </c>
      <c r="C75" s="52">
        <f t="shared" si="9"/>
        <v>0.2105684455424448</v>
      </c>
      <c r="D75" s="22">
        <f t="shared" si="10"/>
        <v>111476.99442956768</v>
      </c>
      <c r="E75" s="22">
        <f t="shared" si="11"/>
        <v>50483.780607432236</v>
      </c>
    </row>
    <row r="76" spans="1:7" ht="15.75" x14ac:dyDescent="0.3">
      <c r="A76" s="50" t="s">
        <v>73</v>
      </c>
      <c r="B76" s="51">
        <v>10390</v>
      </c>
      <c r="C76" s="52">
        <f t="shared" si="9"/>
        <v>5.9833341971448149E-2</v>
      </c>
      <c r="D76" s="22">
        <f t="shared" si="10"/>
        <v>31676.356409769134</v>
      </c>
      <c r="E76" s="22">
        <f t="shared" si="11"/>
        <v>14345.042540987855</v>
      </c>
    </row>
    <row r="77" spans="1:7" ht="15.75" x14ac:dyDescent="0.3">
      <c r="A77" s="50" t="s">
        <v>74</v>
      </c>
      <c r="B77" s="51">
        <v>30521</v>
      </c>
      <c r="C77" s="52">
        <f t="shared" si="9"/>
        <v>0.17576260156983339</v>
      </c>
      <c r="D77" s="22">
        <f t="shared" si="10"/>
        <v>93050.440229313157</v>
      </c>
      <c r="E77" s="22">
        <f t="shared" si="11"/>
        <v>42139.080211115528</v>
      </c>
    </row>
    <row r="78" spans="1:7" ht="15.75" x14ac:dyDescent="0.3">
      <c r="A78" s="56" t="s">
        <v>75</v>
      </c>
      <c r="B78" s="57">
        <v>7011</v>
      </c>
      <c r="C78" s="58">
        <f t="shared" si="9"/>
        <v>4.0374548658500771E-2</v>
      </c>
      <c r="D78" s="26">
        <f t="shared" si="10"/>
        <v>21374.68092289619</v>
      </c>
      <c r="E78" s="26">
        <f t="shared" si="11"/>
        <v>9679.7972333845864</v>
      </c>
    </row>
    <row r="79" spans="1:7" ht="15.75" x14ac:dyDescent="0.3">
      <c r="A79" s="50" t="s">
        <v>77</v>
      </c>
      <c r="B79" s="51">
        <f>SUM(B69:B78)</f>
        <v>173649</v>
      </c>
      <c r="C79" s="52">
        <f>SUM(C69:C78)</f>
        <v>1</v>
      </c>
      <c r="D79" s="22">
        <f>SUM(D69:D78)</f>
        <v>529409.78</v>
      </c>
      <c r="E79" s="22">
        <f>SUM(E69:E78)</f>
        <v>239749.98000000004</v>
      </c>
    </row>
    <row r="81" spans="1:3" x14ac:dyDescent="0.25">
      <c r="A81" s="1" t="s">
        <v>79</v>
      </c>
    </row>
    <row r="82" spans="1:3" ht="45" x14ac:dyDescent="0.25">
      <c r="A82" s="1" t="s">
        <v>81</v>
      </c>
    </row>
    <row r="83" spans="1:3" ht="45" x14ac:dyDescent="0.25">
      <c r="A83" s="1" t="s">
        <v>82</v>
      </c>
    </row>
    <row r="84" spans="1:3" ht="60" x14ac:dyDescent="0.25">
      <c r="A84" s="1" t="s">
        <v>83</v>
      </c>
    </row>
    <row r="85" spans="1:3" ht="45" x14ac:dyDescent="0.25">
      <c r="A85" s="1" t="s">
        <v>80</v>
      </c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</sheetData>
  <printOptions gridLines="1"/>
  <pageMargins left="0.7" right="0.7" top="0.75" bottom="0.75" header="0.3" footer="0.3"/>
  <pageSetup scale="5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Costs</vt:lpstr>
      <vt:lpstr>Sheet2</vt:lpstr>
      <vt:lpstr>Sheet3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cmook</dc:creator>
  <cp:lastModifiedBy>Windows User</cp:lastModifiedBy>
  <cp:lastPrinted>2011-08-19T16:46:42Z</cp:lastPrinted>
  <dcterms:created xsi:type="dcterms:W3CDTF">2011-08-16T16:06:29Z</dcterms:created>
  <dcterms:modified xsi:type="dcterms:W3CDTF">2011-11-17T19:08:44Z</dcterms:modified>
</cp:coreProperties>
</file>